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3980" windowHeight="7110" activeTab="0"/>
  </bookViews>
  <sheets>
    <sheet name="navkurs" sheetId="1" r:id="rId1"/>
    <sheet name="navkursaufgabe" sheetId="2" r:id="rId2"/>
  </sheets>
  <definedNames/>
  <calcPr fullCalcOnLoad="1"/>
</workbook>
</file>

<file path=xl/sharedStrings.xml><?xml version="1.0" encoding="utf-8"?>
<sst xmlns="http://schemas.openxmlformats.org/spreadsheetml/2006/main" count="70" uniqueCount="50">
  <si>
    <t>OM</t>
  </si>
  <si>
    <t>dev</t>
  </si>
  <si>
    <t>Wind (dir/kmh)</t>
  </si>
  <si>
    <t>Ve</t>
  </si>
  <si>
    <t>Gleitverhältnis</t>
  </si>
  <si>
    <t>rwk</t>
  </si>
  <si>
    <t>dist</t>
  </si>
  <si>
    <t>WW</t>
  </si>
  <si>
    <t>l</t>
  </si>
  <si>
    <t>rwsk</t>
  </si>
  <si>
    <t>var</t>
  </si>
  <si>
    <t>mwsk</t>
  </si>
  <si>
    <t>KSK</t>
  </si>
  <si>
    <t>mwk</t>
  </si>
  <si>
    <t>Vg</t>
  </si>
  <si>
    <t>Flugzeit</t>
  </si>
  <si>
    <t>aufg 1</t>
  </si>
  <si>
    <t>aufg 2</t>
  </si>
  <si>
    <t>aufg 3</t>
  </si>
  <si>
    <t>aufg 4</t>
  </si>
  <si>
    <t>aufg 5</t>
  </si>
  <si>
    <t>aufg 6</t>
  </si>
  <si>
    <t>aufg 7</t>
  </si>
  <si>
    <t>aufg 8</t>
  </si>
  <si>
    <t>aufg 9</t>
  </si>
  <si>
    <t>aufg 10</t>
  </si>
  <si>
    <t>aufg 11</t>
  </si>
  <si>
    <t>aufg 12</t>
  </si>
  <si>
    <t>aufg 13</t>
  </si>
  <si>
    <t>aufg 14</t>
  </si>
  <si>
    <t>aufg 15</t>
  </si>
  <si>
    <t>aufg 16</t>
  </si>
  <si>
    <t>aufg 17</t>
  </si>
  <si>
    <t xml:space="preserve">380ft + 2500ft = </t>
  </si>
  <si>
    <t>ft</t>
  </si>
  <si>
    <t>rwk,l,KSK,vg</t>
  </si>
  <si>
    <t>min</t>
  </si>
  <si>
    <t>2803+500 = 3303ft =</t>
  </si>
  <si>
    <t>m</t>
  </si>
  <si>
    <t>Enztal,Nagoldtal,AB,Neckar,bahn</t>
  </si>
  <si>
    <t>Luftraum D 5500 ft, Luftram C 3500 ft</t>
  </si>
  <si>
    <t>mwK,l,rwSK,dev,KSK</t>
  </si>
  <si>
    <t>ft (Hindernis:3760ft, Hoehe 1500m entspricht)</t>
  </si>
  <si>
    <t>(genau)</t>
  </si>
  <si>
    <t>&lt;300 m, befeuert, Hoehe 3760ft NN</t>
  </si>
  <si>
    <t>m (Gelaende 3300ft, max.Hoehe 3300+2500=5830ft=1749m, Hoehenverlust:9260/21)</t>
  </si>
  <si>
    <t>EDSZ:VDF,120,07MHz,befestigt,803m mindestlandebahnlaenge,bahn ost-west</t>
  </si>
  <si>
    <t>rwK,KSK,Vg</t>
  </si>
  <si>
    <t>km (Gelaende 3019ft, Abflughoehe 1656m,Gleitzahl 32, Abfliegbar 1342m)</t>
  </si>
  <si>
    <t>min (bei 82km/h)</t>
  </si>
</sst>
</file>

<file path=xl/styles.xml><?xml version="1.0" encoding="utf-8"?>
<styleSheet xmlns="http://schemas.openxmlformats.org/spreadsheetml/2006/main">
  <numFmts count="11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0_)"/>
    <numFmt numFmtId="165" formatCode="0.00_)"/>
    <numFmt numFmtId="166" formatCode="hh:mm_)"/>
  </numFmts>
  <fonts count="6">
    <font>
      <sz val="12"/>
      <name val="Arial"/>
      <family val="0"/>
    </font>
    <font>
      <sz val="10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164" fontId="4" fillId="2" borderId="0" xfId="0" applyNumberFormat="1" applyFont="1" applyFill="1" applyAlignment="1" applyProtection="1">
      <alignment/>
      <protection/>
    </xf>
    <xf numFmtId="164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5" fillId="2" borderId="0" xfId="0" applyNumberFormat="1" applyFont="1" applyFill="1" applyAlignment="1" applyProtection="1">
      <alignment/>
      <protection/>
    </xf>
    <xf numFmtId="0" fontId="5" fillId="2" borderId="0" xfId="0" applyFont="1" applyFill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20"/>
  <sheetViews>
    <sheetView tabSelected="1" defaultGridColor="0" colorId="22" workbookViewId="0" topLeftCell="A1">
      <selection activeCell="H24" sqref="H24"/>
    </sheetView>
  </sheetViews>
  <sheetFormatPr defaultColWidth="9.77734375" defaultRowHeight="15"/>
  <cols>
    <col min="1" max="1" width="13.4453125" style="0" customWidth="1"/>
    <col min="2" max="7" width="4.77734375" style="0" customWidth="1"/>
    <col min="8" max="8" width="4.99609375" style="0" customWidth="1"/>
    <col min="9" max="14" width="4.77734375" style="0" customWidth="1"/>
  </cols>
  <sheetData>
    <row r="1" spans="1:14" ht="15.75">
      <c r="A1" s="10" t="s">
        <v>0</v>
      </c>
      <c r="B1" s="10">
        <v>-5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5.75">
      <c r="A2" s="10" t="s">
        <v>1</v>
      </c>
      <c r="B2" s="11">
        <v>0</v>
      </c>
      <c r="C2" s="11">
        <v>30</v>
      </c>
      <c r="D2" s="11">
        <v>60</v>
      </c>
      <c r="E2" s="11">
        <v>90</v>
      </c>
      <c r="F2" s="11">
        <v>120</v>
      </c>
      <c r="G2" s="11">
        <v>150</v>
      </c>
      <c r="H2" s="11">
        <v>180</v>
      </c>
      <c r="I2" s="11">
        <v>210</v>
      </c>
      <c r="J2" s="11">
        <v>240</v>
      </c>
      <c r="K2" s="11">
        <v>270</v>
      </c>
      <c r="L2" s="11">
        <v>300</v>
      </c>
      <c r="M2" s="11">
        <v>330</v>
      </c>
      <c r="N2" s="11">
        <v>360</v>
      </c>
    </row>
    <row r="3" spans="1:14" ht="15.75">
      <c r="A3" s="10"/>
      <c r="B3" s="10">
        <v>3</v>
      </c>
      <c r="C3" s="10">
        <v>5</v>
      </c>
      <c r="D3" s="10">
        <v>4</v>
      </c>
      <c r="E3" s="10">
        <v>3</v>
      </c>
      <c r="F3" s="10">
        <v>0</v>
      </c>
      <c r="G3" s="10">
        <v>0</v>
      </c>
      <c r="H3" s="10">
        <v>-4</v>
      </c>
      <c r="I3" s="10">
        <v>-5</v>
      </c>
      <c r="J3" s="10">
        <v>-3</v>
      </c>
      <c r="K3" s="10">
        <v>-2</v>
      </c>
      <c r="L3" s="10">
        <v>0</v>
      </c>
      <c r="M3" s="10">
        <v>0</v>
      </c>
      <c r="N3" s="10">
        <f>B3</f>
        <v>3</v>
      </c>
    </row>
    <row r="4" spans="1:14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5.75">
      <c r="A5" s="10" t="s">
        <v>2</v>
      </c>
      <c r="B5" s="10">
        <v>200</v>
      </c>
      <c r="C5" s="10">
        <v>20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15.75">
      <c r="A6" s="10" t="s">
        <v>3</v>
      </c>
      <c r="B6" s="10">
        <v>70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5.75">
      <c r="A7" s="10" t="s">
        <v>4</v>
      </c>
      <c r="B7" s="10">
        <v>35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5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5.75">
      <c r="A9" s="10" t="s">
        <v>5</v>
      </c>
      <c r="B9" s="12">
        <v>75</v>
      </c>
      <c r="C9" s="11"/>
      <c r="D9" s="12">
        <v>143</v>
      </c>
      <c r="E9" s="11"/>
      <c r="F9" s="12">
        <v>295</v>
      </c>
      <c r="G9" s="11"/>
      <c r="H9" s="12"/>
      <c r="I9" s="10"/>
      <c r="J9" s="10"/>
      <c r="K9" s="11"/>
      <c r="L9" s="10"/>
      <c r="M9" s="10"/>
      <c r="N9" s="10"/>
    </row>
    <row r="10" spans="1:14" ht="15.75">
      <c r="A10" s="10" t="s">
        <v>6</v>
      </c>
      <c r="B10" s="12">
        <v>80</v>
      </c>
      <c r="C10" s="11"/>
      <c r="D10" s="12">
        <v>51</v>
      </c>
      <c r="E10" s="11"/>
      <c r="F10" s="12">
        <v>46</v>
      </c>
      <c r="G10" s="11"/>
      <c r="H10" s="12"/>
      <c r="I10" s="10"/>
      <c r="J10" s="10"/>
      <c r="K10" s="11"/>
      <c r="L10" s="10"/>
      <c r="M10" s="10"/>
      <c r="N10" s="10">
        <f>SUM(B10:K10)</f>
        <v>177</v>
      </c>
    </row>
    <row r="11" spans="1:14" ht="15.75">
      <c r="A11" s="10" t="s">
        <v>7</v>
      </c>
      <c r="B11" s="11">
        <f>IF(ISNUMBER(B9),MOD($B$5-B9+360+180,360)-180,"")</f>
        <v>125</v>
      </c>
      <c r="C11" s="11"/>
      <c r="D11" s="11">
        <f>IF(ISNUMBER(D9),MOD($B$5-D9+360+180,360)-180,"")</f>
        <v>57</v>
      </c>
      <c r="E11" s="11"/>
      <c r="F11" s="11">
        <f>IF(ISNUMBER(F9),MOD($B$5-F9+360+180,360)-180,"")</f>
        <v>-95</v>
      </c>
      <c r="G11" s="11"/>
      <c r="H11" s="11">
        <f>IF(ISNUMBER(H9),MOD($B$5-H9+360+180,360)-180,"")</f>
      </c>
      <c r="I11" s="10"/>
      <c r="J11" s="10"/>
      <c r="K11" s="11"/>
      <c r="L11" s="10"/>
      <c r="M11" s="10"/>
      <c r="N11" s="10"/>
    </row>
    <row r="12" spans="1:14" ht="15.75">
      <c r="A12" s="10" t="s">
        <v>8</v>
      </c>
      <c r="B12" s="11">
        <f>IF(ISNUMBER(B9),-DEGREES(ASIN((SIN(RADIANS(B11+180))*$C$5)/$B$6)),"")</f>
        <v>13.535243625872043</v>
      </c>
      <c r="C12" s="11"/>
      <c r="D12" s="11">
        <f>IF(ISNUMBER(D9),-DEGREES(ASIN((SIN(RADIANS(D11+180))*$C$5)/$B$6)),"")</f>
        <v>13.864123124626907</v>
      </c>
      <c r="E12" s="11"/>
      <c r="F12" s="11">
        <f>IF(ISNUMBER(F9),-DEGREES(ASIN((SIN(RADIANS(F11+180))*$C$5)/$B$6)),"")</f>
        <v>-16.53655726227121</v>
      </c>
      <c r="G12" s="11"/>
      <c r="H12" s="11">
        <f>IF(ISNUMBER(H9),-DEGREES(ASIN((SIN(RADIANS(H11+180))*$C$5)/$B$6)),"")</f>
      </c>
      <c r="I12" s="10"/>
      <c r="J12" s="10"/>
      <c r="K12" s="11"/>
      <c r="L12" s="10"/>
      <c r="M12" s="10"/>
      <c r="N12" s="10"/>
    </row>
    <row r="13" spans="1:14" ht="15.75">
      <c r="A13" s="10" t="s">
        <v>9</v>
      </c>
      <c r="B13" s="11">
        <f>IF(ISNUMBER(B9),MOD(B9+B12+360,360),"")</f>
        <v>88.53524362587206</v>
      </c>
      <c r="C13" s="11"/>
      <c r="D13" s="11">
        <f>IF(ISNUMBER(D9),MOD(D9+D12+360,360),"")</f>
        <v>156.86412312462687</v>
      </c>
      <c r="E13" s="11"/>
      <c r="F13" s="11">
        <f>IF(ISNUMBER(F9),MOD(F9+F12+360,360),"")</f>
        <v>278.46344273772877</v>
      </c>
      <c r="G13" s="11"/>
      <c r="H13" s="11">
        <f>IF(ISNUMBER(H9),MOD(H9+H12+360,360),"")</f>
      </c>
      <c r="I13" s="10"/>
      <c r="J13" s="10"/>
      <c r="K13" s="11"/>
      <c r="L13" s="10"/>
      <c r="M13" s="10"/>
      <c r="N13" s="10"/>
    </row>
    <row r="14" spans="1:14" ht="15.75">
      <c r="A14" s="10" t="s">
        <v>10</v>
      </c>
      <c r="B14" s="11">
        <f>IF(ISNUMBER(B9),-$B$1,"")</f>
        <v>5</v>
      </c>
      <c r="C14" s="11"/>
      <c r="D14" s="11">
        <f>IF(ISNUMBER(D9),-$B$1,"")</f>
        <v>5</v>
      </c>
      <c r="E14" s="11"/>
      <c r="F14" s="11">
        <f>IF(ISNUMBER(F9),-$B$1,"")</f>
        <v>5</v>
      </c>
      <c r="G14" s="11"/>
      <c r="H14" s="11">
        <f>IF(ISNUMBER(H9),-$B$1,"")</f>
      </c>
      <c r="I14" s="10"/>
      <c r="J14" s="10"/>
      <c r="K14" s="11"/>
      <c r="L14" s="10"/>
      <c r="M14" s="10"/>
      <c r="N14" s="10"/>
    </row>
    <row r="15" spans="1:14" ht="15.75">
      <c r="A15" s="10" t="s">
        <v>11</v>
      </c>
      <c r="B15" s="11">
        <f>IF(ISNUMBER(B9),MOD(B13+B14+360,360),"")</f>
        <v>93.53524362587206</v>
      </c>
      <c r="C15" s="11"/>
      <c r="D15" s="11">
        <f>IF(ISNUMBER(D9),MOD(D13+D14+360,360),"")</f>
        <v>161.86412312462687</v>
      </c>
      <c r="E15" s="12"/>
      <c r="F15" s="11">
        <f>IF(ISNUMBER(F9),MOD(F13+F14+360,360),"")</f>
        <v>283.46344273772877</v>
      </c>
      <c r="G15" s="11"/>
      <c r="H15" s="11">
        <f>IF(ISNUMBER(H9),MOD(H13+H14+360,360),"")</f>
      </c>
      <c r="I15" s="10"/>
      <c r="J15" s="10"/>
      <c r="K15" s="11"/>
      <c r="L15" s="10"/>
      <c r="M15" s="10"/>
      <c r="N15" s="10"/>
    </row>
    <row r="16" spans="1:14" ht="15.75">
      <c r="A16" s="10" t="s">
        <v>1</v>
      </c>
      <c r="B16" s="11">
        <f>IF(ISNUMBER(B9),-(HLOOKUP(B15,$B$2:$N$3,2,TRUE)*(1-MOD(B15,30)/30)+HLOOKUP(B15+30,$B$2:$N$3,2,TRUE)*(MOD(B15,30)/30)),"")</f>
        <v>-2.6464756374127942</v>
      </c>
      <c r="C16" s="11"/>
      <c r="D16" s="11">
        <f>IF(ISNUMBER(D9),-(HLOOKUP(D15,$B$2:$N$3,2,TRUE)*(1-MOD(D15,30)/30)+HLOOKUP(D15+30,$B$2:$N$3,2,TRUE)*(MOD(D15,30)/30)),"")</f>
        <v>1.5818830832835828</v>
      </c>
      <c r="E16" s="11"/>
      <c r="F16" s="11">
        <f>IF(ISNUMBER(F9),-(HLOOKUP(F15,$B$2:$N$3,2,TRUE)*(1-MOD(F15,30)/30)+HLOOKUP(F15+30,$B$2:$N$3,2,TRUE)*(MOD(F15,30)/30)),"")</f>
        <v>1.1024371508180821</v>
      </c>
      <c r="G16" s="11"/>
      <c r="H16" s="11">
        <f>IF(ISNUMBER(H9),-(HLOOKUP(H15,$B$2:$N$3,2,TRUE)*(1-MOD(H15,30)/30)+HLOOKUP(H15+30,$B$2:$N$3,2,TRUE)*(MOD(H15,30)/30)),"")</f>
      </c>
      <c r="I16" s="11"/>
      <c r="J16" s="10"/>
      <c r="K16" s="11"/>
      <c r="L16" s="10"/>
      <c r="M16" s="10"/>
      <c r="N16" s="10"/>
    </row>
    <row r="17" spans="1:14" ht="15.75">
      <c r="A17" s="10" t="s">
        <v>12</v>
      </c>
      <c r="B17" s="11">
        <f>IF(ISNUMBER(B9),MOD(B15+B16+360,360),"")</f>
        <v>90.88876798845928</v>
      </c>
      <c r="C17" s="11"/>
      <c r="D17" s="11">
        <f>IF(ISNUMBER(D9),MOD(D15+D16+360,360),"")</f>
        <v>163.4460062079104</v>
      </c>
      <c r="E17" s="12"/>
      <c r="F17" s="11">
        <f>IF(ISNUMBER(F9),MOD(F15+F16+360,360),"")</f>
        <v>284.5658798885469</v>
      </c>
      <c r="G17" s="11"/>
      <c r="H17" s="11">
        <f>IF(ISNUMBER(H9),MOD(H15+H16+360,360),"")</f>
      </c>
      <c r="I17" s="10"/>
      <c r="J17" s="10"/>
      <c r="K17" s="11"/>
      <c r="L17" s="10"/>
      <c r="M17" s="10"/>
      <c r="N17" s="10"/>
    </row>
    <row r="18" spans="1:14" ht="15.75">
      <c r="A18" s="10" t="s">
        <v>13</v>
      </c>
      <c r="B18" s="11">
        <f>IF(ISNUMBER(B9),MOD(B9+B14+360,360),"")</f>
        <v>80</v>
      </c>
      <c r="C18" s="10"/>
      <c r="D18" s="11">
        <f>IF(ISNUMBER(D9),MOD(D9+D14+360,360),"")</f>
        <v>148</v>
      </c>
      <c r="E18" s="13"/>
      <c r="F18" s="11">
        <f>IF(ISNUMBER(F9),MOD(F9+F14+360,360),"")</f>
        <v>300</v>
      </c>
      <c r="G18" s="10"/>
      <c r="H18" s="11">
        <f>IF(ISNUMBER(H9),MOD(H9+H14+360,360),"")</f>
      </c>
      <c r="I18" s="10"/>
      <c r="J18" s="10"/>
      <c r="K18" s="10"/>
      <c r="L18" s="10"/>
      <c r="M18" s="10"/>
      <c r="N18" s="10"/>
    </row>
    <row r="19" spans="1:14" ht="15.75">
      <c r="A19" s="10" t="s">
        <v>14</v>
      </c>
      <c r="B19" s="11">
        <f>IF(ISNUMBER(B9),COS(RADIANS(B11+180))*$C$5+COS(RADIANS(B12))*$B$6,"")</f>
        <v>79.52735853854307</v>
      </c>
      <c r="C19" s="11"/>
      <c r="D19" s="11">
        <f>IF(ISNUMBER(D9),COS(RADIANS(D11+180))*$C$5+COS(RADIANS(D12))*$B$6,"")</f>
        <v>57.06788933307126</v>
      </c>
      <c r="E19" s="11"/>
      <c r="F19" s="11">
        <f>IF(ISNUMBER(F9),COS(RADIANS(F11+180))*$C$5+COS(RADIANS(F12))*$B$6,"")</f>
        <v>68.84779762298031</v>
      </c>
      <c r="G19" s="11"/>
      <c r="H19" s="11">
        <f>IF(ISNUMBER(H9),COS(RADIANS(H11+180))*$C$5+COS(RADIANS(H12))*$B$6,"")</f>
      </c>
      <c r="I19" s="11"/>
      <c r="J19" s="11"/>
      <c r="K19" s="11"/>
      <c r="L19" s="10"/>
      <c r="M19" s="10"/>
      <c r="N19" s="10">
        <f>(N10/N20)*60</f>
        <v>68.93178205571824</v>
      </c>
    </row>
    <row r="20" spans="1:14" ht="15.75">
      <c r="A20" s="10" t="s">
        <v>15</v>
      </c>
      <c r="B20" s="11">
        <f>IF(AND(ISNUMBER(B9),ISNUMBER(B10)),60*(B10/B19),"")</f>
        <v>60.35658782346797</v>
      </c>
      <c r="C20" s="11"/>
      <c r="D20" s="11">
        <f>IF(AND(ISNUMBER(D9),ISNUMBER(D10)),60*(D10/D19),"")</f>
        <v>53.6203464988972</v>
      </c>
      <c r="E20" s="12"/>
      <c r="F20" s="11">
        <f>IF(AND(ISNUMBER(F9),ISNUMBER(F10)),60*(F10/F19),"")</f>
        <v>40.0884283200187</v>
      </c>
      <c r="G20" s="11"/>
      <c r="H20" s="11">
        <f>IF(AND(ISNUMBER(H9),ISNUMBER(H10)),60*(H10/H19),"")</f>
      </c>
      <c r="I20" s="10"/>
      <c r="J20" s="10"/>
      <c r="K20" s="11"/>
      <c r="L20" s="10"/>
      <c r="M20" s="10"/>
      <c r="N20" s="10">
        <f>SUM(B20:K20)</f>
        <v>154.06536264238386</v>
      </c>
    </row>
  </sheetData>
  <printOptions/>
  <pageMargins left="0.787" right="0.394" top="0.591" bottom="0.677" header="0.5" footer="0.5"/>
  <pageSetup horizontalDpi="200" verticalDpi="2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workbookViewId="0" topLeftCell="A1">
      <selection activeCell="P14" sqref="P14"/>
    </sheetView>
  </sheetViews>
  <sheetFormatPr defaultColWidth="8.88671875" defaultRowHeight="15"/>
  <cols>
    <col min="1" max="1" width="11.10546875" style="0" customWidth="1"/>
    <col min="2" max="14" width="4.77734375" style="0" customWidth="1"/>
  </cols>
  <sheetData>
    <row r="1" spans="1:14" ht="15">
      <c r="A1" s="2" t="s">
        <v>0</v>
      </c>
      <c r="B1" s="2">
        <v>-2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>
      <c r="A2" s="2" t="s">
        <v>1</v>
      </c>
      <c r="B2" s="3">
        <v>0</v>
      </c>
      <c r="C2" s="3">
        <v>30</v>
      </c>
      <c r="D2" s="3">
        <v>60</v>
      </c>
      <c r="E2" s="3">
        <v>90</v>
      </c>
      <c r="F2" s="3">
        <v>120</v>
      </c>
      <c r="G2" s="3">
        <v>150</v>
      </c>
      <c r="H2" s="3">
        <v>180</v>
      </c>
      <c r="I2" s="3">
        <v>210</v>
      </c>
      <c r="J2" s="3">
        <v>240</v>
      </c>
      <c r="K2" s="3">
        <v>270</v>
      </c>
      <c r="L2" s="3">
        <v>300</v>
      </c>
      <c r="M2" s="3">
        <v>330</v>
      </c>
      <c r="N2" s="3">
        <v>360</v>
      </c>
    </row>
    <row r="3" spans="1:14" ht="15">
      <c r="A3" s="2"/>
      <c r="B3" s="2">
        <v>3</v>
      </c>
      <c r="C3" s="2">
        <v>5</v>
      </c>
      <c r="D3" s="2">
        <v>4</v>
      </c>
      <c r="E3" s="2">
        <v>3</v>
      </c>
      <c r="F3" s="2">
        <v>0</v>
      </c>
      <c r="G3" s="2">
        <v>0</v>
      </c>
      <c r="H3" s="2">
        <v>-4</v>
      </c>
      <c r="I3" s="2">
        <v>-5</v>
      </c>
      <c r="J3" s="2">
        <v>-3</v>
      </c>
      <c r="K3" s="2">
        <v>-2</v>
      </c>
      <c r="L3" s="2">
        <v>0</v>
      </c>
      <c r="M3" s="2">
        <v>2</v>
      </c>
      <c r="N3" s="2">
        <f>B3</f>
        <v>3</v>
      </c>
    </row>
    <row r="4" spans="1:1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">
      <c r="A5" s="2" t="s">
        <v>2</v>
      </c>
      <c r="B5" s="2">
        <v>170</v>
      </c>
      <c r="C5" s="2">
        <v>20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">
      <c r="A6" s="2" t="s">
        <v>3</v>
      </c>
      <c r="B6" s="2">
        <v>75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5">
      <c r="A7" s="2" t="s">
        <v>4</v>
      </c>
      <c r="B7" s="2">
        <v>35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">
      <c r="A9" s="2" t="s">
        <v>5</v>
      </c>
      <c r="B9" s="4">
        <v>140</v>
      </c>
      <c r="C9" s="3"/>
      <c r="D9" s="4">
        <v>226</v>
      </c>
      <c r="E9" s="3"/>
      <c r="F9" s="4">
        <v>350</v>
      </c>
      <c r="G9" s="3"/>
      <c r="H9" s="4"/>
      <c r="I9" s="2"/>
      <c r="J9" s="4"/>
      <c r="K9" s="3"/>
      <c r="L9" s="4"/>
      <c r="M9" s="2"/>
      <c r="N9" s="2"/>
    </row>
    <row r="10" spans="1:14" ht="15">
      <c r="A10" s="2" t="s">
        <v>6</v>
      </c>
      <c r="B10" s="4">
        <f>17.2*5</f>
        <v>86</v>
      </c>
      <c r="C10" s="3"/>
      <c r="D10" s="4">
        <f>10.8*5</f>
        <v>54</v>
      </c>
      <c r="E10" s="3"/>
      <c r="F10" s="4">
        <f>20.7*5</f>
        <v>103.5</v>
      </c>
      <c r="G10" s="3"/>
      <c r="H10" s="4"/>
      <c r="I10" s="2"/>
      <c r="J10" s="4"/>
      <c r="K10" s="3"/>
      <c r="L10" s="4"/>
      <c r="M10" s="2"/>
      <c r="N10" s="2">
        <f>SUM(B10:K10)</f>
        <v>243.5</v>
      </c>
    </row>
    <row r="11" spans="1:14" ht="15">
      <c r="A11" s="2" t="s">
        <v>7</v>
      </c>
      <c r="B11" s="3">
        <f>IF(ISNUMBER(B9),MOD($B$5-B9+360+180,360)-180,"")</f>
        <v>30</v>
      </c>
      <c r="C11" s="3"/>
      <c r="D11" s="3">
        <f>IF(ISNUMBER(D9),MOD($B$5-D9+360+180,360)-180,"")</f>
        <v>-56</v>
      </c>
      <c r="E11" s="3"/>
      <c r="F11" s="3">
        <f>IF(ISNUMBER(F9),MOD($B$5-F9+360+180,360)-180,"")</f>
        <v>-180</v>
      </c>
      <c r="G11" s="3"/>
      <c r="H11" s="3">
        <f>IF(ISNUMBER(H9),MOD($B$5-H9+360+180,360)-180,"")</f>
      </c>
      <c r="I11" s="2"/>
      <c r="J11" s="3">
        <f>IF(ISNUMBER(J9),MOD($B$5-J9+360+180,360)-180,"")</f>
      </c>
      <c r="K11" s="3"/>
      <c r="L11" s="3">
        <f>IF(ISNUMBER(L9),MOD($B$5-L9+360+180,360)-180,"")</f>
      </c>
      <c r="M11" s="2"/>
      <c r="N11" s="2"/>
    </row>
    <row r="12" spans="1:14" ht="15">
      <c r="A12" s="2" t="s">
        <v>8</v>
      </c>
      <c r="B12" s="3">
        <f>IF(ISNUMBER(B9),-DEGREES(ASIN((SIN(RADIANS(B11+180))*$C$5)/$B$6)),"")</f>
        <v>7.662255660766065</v>
      </c>
      <c r="C12" s="3"/>
      <c r="D12" s="3">
        <f>IF(ISNUMBER(D9),-DEGREES(ASIN((SIN(RADIANS(D11+180))*$C$5)/$B$6)),"")</f>
        <v>-12.772279806173652</v>
      </c>
      <c r="E12" s="3"/>
      <c r="F12" s="3">
        <f>IF(ISNUMBER(F9),-DEGREES(ASIN((SIN(RADIANS(F11+180))*$C$5)/$B$6)),"")</f>
        <v>0</v>
      </c>
      <c r="G12" s="3"/>
      <c r="H12" s="3">
        <f>IF(ISNUMBER(H9),-DEGREES(ASIN((SIN(RADIANS(H11+180))*$C$5)/$B$6)),"")</f>
      </c>
      <c r="I12" s="2"/>
      <c r="J12" s="3">
        <f>IF(ISNUMBER(J9),-DEGREES(ASIN((SIN(RADIANS(J11+180))*$C$5)/$B$6)),"")</f>
      </c>
      <c r="K12" s="3"/>
      <c r="L12" s="3">
        <f>IF(ISNUMBER(L9),-DEGREES(ASIN((SIN(RADIANS(L11+180))*$C$5)/$B$6)),"")</f>
      </c>
      <c r="M12" s="2"/>
      <c r="N12" s="2"/>
    </row>
    <row r="13" spans="1:14" ht="15">
      <c r="A13" s="2" t="s">
        <v>9</v>
      </c>
      <c r="B13" s="3">
        <f>IF(ISNUMBER(B9),MOD(B9+B12+360,360),"")</f>
        <v>147.66225566076605</v>
      </c>
      <c r="C13" s="3"/>
      <c r="D13" s="3">
        <f>IF(ISNUMBER(D9),MOD(D9+D12+360,360),"")</f>
        <v>213.22772019382637</v>
      </c>
      <c r="E13" s="3"/>
      <c r="F13" s="3">
        <f>IF(ISNUMBER(F9),MOD(F9+F12+360,360),"")</f>
        <v>350</v>
      </c>
      <c r="G13" s="3"/>
      <c r="H13" s="3">
        <f>IF(ISNUMBER(H9),MOD(H9+H12+360,360),"")</f>
      </c>
      <c r="I13" s="2"/>
      <c r="J13" s="3">
        <f>IF(ISNUMBER(J9),MOD(J9+J12+360,360),"")</f>
      </c>
      <c r="K13" s="3"/>
      <c r="L13" s="3">
        <f>IF(ISNUMBER(L9),MOD(L9+L12+360,360),"")</f>
      </c>
      <c r="M13" s="2"/>
      <c r="N13" s="2"/>
    </row>
    <row r="14" spans="1:14" ht="15">
      <c r="A14" s="2" t="s">
        <v>10</v>
      </c>
      <c r="B14" s="3">
        <f>IF(ISNUMBER(B9),-$B$1,"")</f>
        <v>2</v>
      </c>
      <c r="C14" s="3"/>
      <c r="D14" s="3">
        <f>IF(ISNUMBER(D9),-$B$1,"")</f>
        <v>2</v>
      </c>
      <c r="E14" s="3"/>
      <c r="F14" s="3">
        <f>IF(ISNUMBER(F9),-$B$1,"")</f>
        <v>2</v>
      </c>
      <c r="G14" s="3"/>
      <c r="H14" s="3">
        <f>IF(ISNUMBER(H9),-$B$1,"")</f>
      </c>
      <c r="I14" s="2"/>
      <c r="J14" s="3">
        <f>IF(ISNUMBER(J9),-$B$1,"")</f>
      </c>
      <c r="K14" s="3"/>
      <c r="L14" s="3">
        <f>IF(ISNUMBER(L9),-$B$1,"")</f>
      </c>
      <c r="M14" s="2"/>
      <c r="N14" s="2"/>
    </row>
    <row r="15" spans="1:14" ht="15">
      <c r="A15" s="2" t="s">
        <v>11</v>
      </c>
      <c r="B15" s="3">
        <f>IF(ISNUMBER(B9),MOD(B13+B14+360,360),"")</f>
        <v>149.66225566076605</v>
      </c>
      <c r="C15" s="3"/>
      <c r="D15" s="3">
        <f>IF(ISNUMBER(D9),MOD(D13+D14+360,360),"")</f>
        <v>215.22772019382637</v>
      </c>
      <c r="E15" s="5"/>
      <c r="F15" s="3">
        <f>IF(ISNUMBER(F9),MOD(F13+F14+360,360),"")</f>
        <v>352</v>
      </c>
      <c r="G15" s="3"/>
      <c r="H15" s="3">
        <f>IF(ISNUMBER(H9),MOD(H13+H14+360,360),"")</f>
      </c>
      <c r="I15" s="2"/>
      <c r="J15" s="3">
        <f>IF(ISNUMBER(J9),MOD(J13+J14+360,360),"")</f>
      </c>
      <c r="K15" s="3"/>
      <c r="L15" s="3">
        <f>IF(ISNUMBER(L9),MOD(L13+L14+360,360),"")</f>
      </c>
      <c r="M15" s="2"/>
      <c r="N15" s="2"/>
    </row>
    <row r="16" spans="1:14" ht="15">
      <c r="A16" s="2" t="s">
        <v>1</v>
      </c>
      <c r="B16" s="3">
        <f>IF(ISNUMBER(B9),-(HLOOKUP(B15,$B$2:$N$3,2,TRUE)*(1-MOD(B15,30)/30)+HLOOKUP(B15+30,$B$2:$N$3,2,TRUE)*(MOD(B15,30)/30)),"")</f>
        <v>0</v>
      </c>
      <c r="C16" s="3"/>
      <c r="D16" s="3">
        <f>IF(ISNUMBER(D9),-(HLOOKUP(D15,$B$2:$N$3,2,TRUE)*(1-MOD(D15,30)/30)+HLOOKUP(D15+30,$B$2:$N$3,2,TRUE)*(MOD(D15,30)/30)),"")</f>
        <v>4.651485320411576</v>
      </c>
      <c r="E16" s="5"/>
      <c r="F16" s="3">
        <f>IF(ISNUMBER(F9),-(HLOOKUP(F15,$B$2:$N$3,2,TRUE)*(1-MOD(F15,30)/30)+HLOOKUP(F15+30,$B$2:$N$3,2,TRUE)*(MOD(F15,30)/30)),"")</f>
        <v>-2.7333333333333334</v>
      </c>
      <c r="G16" s="3"/>
      <c r="H16" s="3">
        <f>IF(ISNUMBER(H9),-(HLOOKUP(H15,$B$2:$N$3,2,TRUE)*(1-MOD(H15,30)/30)+HLOOKUP(H15+30,$B$2:$N$3,2,TRUE)*(MOD(H15,30)/30)),"")</f>
      </c>
      <c r="I16" s="3"/>
      <c r="J16" s="3">
        <f>IF(ISNUMBER(J9),-(HLOOKUP(J15,$B$2:$N$3,2,TRUE)*(1-MOD(J15,30)/30)+HLOOKUP(J15+30,$B$2:$N$3,2,TRUE)*(MOD(J15,30)/30)),"")</f>
      </c>
      <c r="K16" s="3"/>
      <c r="L16" s="3">
        <f>IF(ISNUMBER(L9),-(HLOOKUP(L15,$B$2:$N$3,2,TRUE)*(1-MOD(L15,30)/30)+HLOOKUP(L15+30,$B$2:$N$3,2,TRUE)*(MOD(L15,30)/30)),"")</f>
      </c>
      <c r="M16" s="2"/>
      <c r="N16" s="2"/>
    </row>
    <row r="17" spans="1:14" ht="15">
      <c r="A17" s="2" t="s">
        <v>12</v>
      </c>
      <c r="B17" s="3">
        <f>IF(ISNUMBER(B9),MOD(B15+B16+360,360),"")</f>
        <v>149.66225566076605</v>
      </c>
      <c r="C17" s="3"/>
      <c r="D17" s="3">
        <f>IF(ISNUMBER(D9),MOD(D15+D16+360,360),"")</f>
        <v>219.87920551423792</v>
      </c>
      <c r="E17" s="5"/>
      <c r="F17" s="3">
        <f>IF(ISNUMBER(F9),MOD(F15+F16+360,360),"")</f>
        <v>349.26666666666665</v>
      </c>
      <c r="G17" s="3"/>
      <c r="H17" s="3">
        <f>IF(ISNUMBER(H9),MOD(H15+H16+360,360),"")</f>
      </c>
      <c r="I17" s="2"/>
      <c r="J17" s="3">
        <f>IF(ISNUMBER(J9),MOD(J15+J16+360,360),"")</f>
      </c>
      <c r="K17" s="3"/>
      <c r="L17" s="3">
        <f>IF(ISNUMBER(L9),MOD(L15+L16+360,360),"")</f>
      </c>
      <c r="M17" s="2"/>
      <c r="N17" s="2"/>
    </row>
    <row r="18" spans="1:14" ht="15">
      <c r="A18" s="2" t="s">
        <v>13</v>
      </c>
      <c r="B18" s="3">
        <f>IF(ISNUMBER(B9),MOD(B9+B14+360,360),"")</f>
        <v>142</v>
      </c>
      <c r="C18" s="2"/>
      <c r="D18" s="3">
        <f>IF(ISNUMBER(D9),MOD(D9+D14+360,360),"")</f>
        <v>228</v>
      </c>
      <c r="E18" s="6"/>
      <c r="F18" s="3">
        <f>IF(ISNUMBER(F9),MOD(F9+F14+360,360),"")</f>
        <v>352</v>
      </c>
      <c r="G18" s="2"/>
      <c r="H18" s="3">
        <f>IF(ISNUMBER(H9),MOD(H9+H14+360,360),"")</f>
      </c>
      <c r="I18" s="2"/>
      <c r="J18" s="3">
        <f>IF(ISNUMBER(J9),MOD(J9+J14+360,360),"")</f>
      </c>
      <c r="K18" s="2"/>
      <c r="L18" s="3">
        <f>IF(ISNUMBER(L9),MOD(L9+L14+360,360),"")</f>
      </c>
      <c r="M18" s="2"/>
      <c r="N18" s="2"/>
    </row>
    <row r="19" spans="1:14" ht="15">
      <c r="A19" s="2" t="s">
        <v>14</v>
      </c>
      <c r="B19" s="3">
        <f>IF(ISNUMBER(B9),COS(RADIANS(B11+180))*$C$5+COS(RADIANS(B12))*$B$6,"")</f>
        <v>57.009835660903754</v>
      </c>
      <c r="C19" s="3"/>
      <c r="D19" s="3">
        <f>IF(ISNUMBER(D9),COS(RADIANS(D11+180))*$C$5+COS(RADIANS(D12))*$B$6,"")</f>
        <v>61.96037397465549</v>
      </c>
      <c r="E19" s="5"/>
      <c r="F19" s="3">
        <f>IF(ISNUMBER(F9),COS(RADIANS(F11+180))*$C$5+COS(RADIANS(F12))*$B$6,"")</f>
        <v>95</v>
      </c>
      <c r="G19" s="3"/>
      <c r="H19" s="3">
        <f>IF(ISNUMBER(H9),COS(RADIANS(H11+180))*$C$5+COS(RADIANS(H12))*$B$6,"")</f>
      </c>
      <c r="I19" s="3"/>
      <c r="J19" s="3">
        <f>IF(ISNUMBER(J9),COS(RADIANS(J11+180))*$C$5+COS(RADIANS(J12))*$B$6,"")</f>
      </c>
      <c r="K19" s="3"/>
      <c r="L19" s="3">
        <f>IF(ISNUMBER(L9),COS(RADIANS(L11+180))*$C$5+COS(RADIANS(L12))*$B$6,"")</f>
      </c>
      <c r="M19" s="2"/>
      <c r="N19" s="2">
        <f>(N10/N20)*60</f>
        <v>70.18281976517186</v>
      </c>
    </row>
    <row r="20" spans="1:14" ht="15">
      <c r="A20" s="2" t="s">
        <v>15</v>
      </c>
      <c r="B20" s="3">
        <f>IF(AND(ISNUMBER(B9),ISNUMBER(B10)),60*(B10/B19),"")</f>
        <v>90.51069767490364</v>
      </c>
      <c r="C20" s="3"/>
      <c r="D20" s="3">
        <f>IF(AND(ISNUMBER(D9),ISNUMBER(D10)),60*(D10/D19),"")</f>
        <v>52.29148554405599</v>
      </c>
      <c r="E20" s="5"/>
      <c r="F20" s="3">
        <f>IF(AND(ISNUMBER(F9),ISNUMBER(F10)),60*(F10/F19),"")</f>
        <v>65.36842105263159</v>
      </c>
      <c r="G20" s="3"/>
      <c r="H20" s="3">
        <f>IF(AND(ISNUMBER(H9),ISNUMBER(H10)),60*(H10/H19),"")</f>
      </c>
      <c r="I20" s="2"/>
      <c r="J20" s="3">
        <f>IF(AND(ISNUMBER(J9),ISNUMBER(J10)),60*(J10/J19),"")</f>
      </c>
      <c r="K20" s="3"/>
      <c r="L20" s="3">
        <f>IF(AND(ISNUMBER(L9),ISNUMBER(L10)),60*(L10/L19),"")</f>
      </c>
      <c r="M20" s="2"/>
      <c r="N20" s="2">
        <f>SUM(B20:K20)</f>
        <v>208.1706042715912</v>
      </c>
    </row>
    <row r="21" spans="1:14" ht="15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5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s="1" customFormat="1" ht="12.75">
      <c r="A23" s="8" t="s">
        <v>16</v>
      </c>
      <c r="B23" s="8" t="s">
        <v>33</v>
      </c>
      <c r="C23" s="8"/>
      <c r="D23" s="8"/>
      <c r="E23" s="8">
        <f>380+2500</f>
        <v>2880</v>
      </c>
      <c r="F23" s="8" t="s">
        <v>34</v>
      </c>
      <c r="G23" s="8"/>
      <c r="H23" s="8"/>
      <c r="I23" s="8"/>
      <c r="J23" s="8"/>
      <c r="K23" s="8"/>
      <c r="L23" s="8"/>
      <c r="M23" s="8"/>
      <c r="N23" s="8"/>
    </row>
    <row r="24" spans="1:14" s="1" customFormat="1" ht="12.75">
      <c r="A24" s="8" t="s">
        <v>17</v>
      </c>
      <c r="B24" s="9">
        <f>B9</f>
        <v>140</v>
      </c>
      <c r="C24" s="9">
        <f>B12</f>
        <v>7.662255660766065</v>
      </c>
      <c r="D24" s="9">
        <f>B17</f>
        <v>149.66225566076605</v>
      </c>
      <c r="E24" s="9">
        <f>B19</f>
        <v>57.009835660903754</v>
      </c>
      <c r="F24" s="8" t="s">
        <v>35</v>
      </c>
      <c r="G24" s="8"/>
      <c r="H24" s="8"/>
      <c r="I24" s="8"/>
      <c r="J24" s="8"/>
      <c r="K24" s="8"/>
      <c r="L24" s="8"/>
      <c r="M24" s="8"/>
      <c r="N24" s="8"/>
    </row>
    <row r="25" spans="1:14" s="1" customFormat="1" ht="12.75">
      <c r="A25" s="8" t="s">
        <v>18</v>
      </c>
      <c r="B25" s="9">
        <f>B20</f>
        <v>90.51069767490364</v>
      </c>
      <c r="C25" s="8" t="s">
        <v>36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s="1" customFormat="1" ht="12.75">
      <c r="A26" s="8" t="s">
        <v>19</v>
      </c>
      <c r="B26" s="8" t="s">
        <v>37</v>
      </c>
      <c r="C26" s="8"/>
      <c r="D26" s="8"/>
      <c r="E26" s="8">
        <f>(2803+500)*0.305</f>
        <v>1007.415</v>
      </c>
      <c r="F26" s="8" t="s">
        <v>38</v>
      </c>
      <c r="G26" s="8"/>
      <c r="H26" s="8"/>
      <c r="I26" s="8"/>
      <c r="J26" s="8"/>
      <c r="K26" s="8"/>
      <c r="L26" s="8"/>
      <c r="M26" s="8"/>
      <c r="N26" s="8"/>
    </row>
    <row r="27" spans="1:14" s="1" customFormat="1" ht="12.75">
      <c r="A27" s="8" t="s">
        <v>20</v>
      </c>
      <c r="B27" s="8" t="s">
        <v>39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s="1" customFormat="1" ht="12.75">
      <c r="A28" s="8" t="s">
        <v>21</v>
      </c>
      <c r="B28" s="8" t="s">
        <v>40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s="1" customFormat="1" ht="12.75">
      <c r="A29" s="8" t="s">
        <v>22</v>
      </c>
      <c r="B29" s="8">
        <v>5120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s="1" customFormat="1" ht="12.75">
      <c r="A30" s="8" t="s">
        <v>23</v>
      </c>
      <c r="B30" s="9">
        <f>D18</f>
        <v>228</v>
      </c>
      <c r="C30" s="9">
        <f>D12</f>
        <v>-12.772279806173652</v>
      </c>
      <c r="D30" s="9">
        <f>D13</f>
        <v>213.22772019382637</v>
      </c>
      <c r="E30" s="9">
        <f>-D16</f>
        <v>-4.651485320411576</v>
      </c>
      <c r="F30" s="9">
        <f>D17</f>
        <v>219.87920551423792</v>
      </c>
      <c r="G30" s="8" t="s">
        <v>41</v>
      </c>
      <c r="H30" s="8"/>
      <c r="I30" s="8"/>
      <c r="J30" s="8"/>
      <c r="K30" s="8"/>
      <c r="L30" s="8"/>
      <c r="M30" s="8"/>
      <c r="N30" s="8"/>
    </row>
    <row r="31" spans="1:14" s="1" customFormat="1" ht="12.75">
      <c r="A31" s="8" t="s">
        <v>24</v>
      </c>
      <c r="B31" s="9">
        <f>D20</f>
        <v>52.29148554405599</v>
      </c>
      <c r="C31" s="8" t="s">
        <v>36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s="1" customFormat="1" ht="12.75">
      <c r="A32" s="8" t="s">
        <v>25</v>
      </c>
      <c r="B32" s="8">
        <f>1500/0.3-3760</f>
        <v>1240</v>
      </c>
      <c r="C32" s="8" t="s">
        <v>42</v>
      </c>
      <c r="D32" s="8"/>
      <c r="E32" s="8"/>
      <c r="F32" s="8"/>
      <c r="G32" s="8"/>
      <c r="H32" s="8"/>
      <c r="I32" s="8">
        <v>5000</v>
      </c>
      <c r="J32" s="8" t="s">
        <v>34</v>
      </c>
      <c r="K32" s="8">
        <f>1500/0.305-3760</f>
        <v>1158.0327868852464</v>
      </c>
      <c r="L32" s="8" t="s">
        <v>43</v>
      </c>
      <c r="M32" s="8"/>
      <c r="N32" s="8"/>
    </row>
    <row r="33" spans="1:14" s="1" customFormat="1" ht="12.75">
      <c r="A33" s="8" t="s">
        <v>26</v>
      </c>
      <c r="B33" s="8" t="s">
        <v>44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s="1" customFormat="1" ht="12.75">
      <c r="A34" s="8" t="s">
        <v>27</v>
      </c>
      <c r="B34" s="8">
        <f>5830*0.3-((5*1.852*1000)/21)</f>
        <v>1308.047619047619</v>
      </c>
      <c r="C34" s="8" t="s">
        <v>45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s="1" customFormat="1" ht="12.75">
      <c r="A35" s="8" t="s">
        <v>28</v>
      </c>
      <c r="B35" s="8" t="s">
        <v>46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s="1" customFormat="1" ht="12.75">
      <c r="A36" s="8" t="s">
        <v>29</v>
      </c>
      <c r="B36" s="9">
        <f>F9</f>
        <v>350</v>
      </c>
      <c r="C36" s="9">
        <f>F17</f>
        <v>349.26666666666665</v>
      </c>
      <c r="D36" s="9">
        <f>F19</f>
        <v>95</v>
      </c>
      <c r="E36" s="8" t="s">
        <v>47</v>
      </c>
      <c r="F36" s="8"/>
      <c r="G36" s="8"/>
      <c r="H36" s="8"/>
      <c r="I36" s="8"/>
      <c r="J36" s="8"/>
      <c r="K36" s="8"/>
      <c r="L36" s="8"/>
      <c r="M36" s="8"/>
      <c r="N36" s="8"/>
    </row>
    <row r="37" spans="1:14" s="1" customFormat="1" ht="12.75">
      <c r="A37" s="8" t="s">
        <v>30</v>
      </c>
      <c r="B37" s="9">
        <f>F20</f>
        <v>65.36842105263159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s="1" customFormat="1" ht="12.75">
      <c r="A38" s="8" t="s">
        <v>31</v>
      </c>
      <c r="B38" s="8">
        <f>((3019+2500)*0.3-200-114)*32/1000</f>
        <v>42.934400000000004</v>
      </c>
      <c r="C38" s="8" t="s">
        <v>48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s="1" customFormat="1" ht="12.75">
      <c r="A39" s="8" t="s">
        <v>32</v>
      </c>
      <c r="B39" s="8">
        <f>B38/82*60</f>
        <v>31.41541463414634</v>
      </c>
      <c r="C39" s="8" t="s">
        <v>49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</sheetData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Frank-Peter Schmidt-Lademann</dc:creator>
  <cp:keywords/>
  <dc:description/>
  <cp:lastModifiedBy>Frank-Peter Schmidt-Lademann</cp:lastModifiedBy>
  <dcterms:created xsi:type="dcterms:W3CDTF">2002-02-16T18:39:38Z</dcterms:created>
  <dcterms:modified xsi:type="dcterms:W3CDTF">2002-02-23T16:19:17Z</dcterms:modified>
  <cp:category/>
  <cp:version/>
  <cp:contentType/>
  <cp:contentStatus/>
</cp:coreProperties>
</file>